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1360" yWindow="44356" windowWidth="13500" windowHeight="11040" tabRatio="500" activeTab="1"/>
  </bookViews>
  <sheets>
    <sheet name="Cost of Noise - SPL" sheetId="1" r:id="rId1"/>
    <sheet name="Cost of Noise - PWL" sheetId="2" r:id="rId2"/>
  </sheets>
  <definedNames>
    <definedName name="_xlnm.Print_Area" localSheetId="1">'Cost of Noise - PWL'!$A$1:$E$23</definedName>
    <definedName name="_xlnm.Print_Area" localSheetId="0">'Cost of Noise - SPL'!$A$1:$E$21</definedName>
  </definedNames>
  <calcPr fullCalcOnLoad="1"/>
</workbook>
</file>

<file path=xl/sharedStrings.xml><?xml version="1.0" encoding="utf-8"?>
<sst xmlns="http://schemas.openxmlformats.org/spreadsheetml/2006/main" count="85" uniqueCount="37">
  <si>
    <t>Probability</t>
  </si>
  <si>
    <t>coefficients of L-80, valid from 80 to 115</t>
  </si>
  <si>
    <t>Potential</t>
  </si>
  <si>
    <t>Medium Low</t>
  </si>
  <si>
    <t>Medium High</t>
  </si>
  <si>
    <t>Factor</t>
  </si>
  <si>
    <t>Average (50-th %-ile)</t>
  </si>
  <si>
    <t>Low (10-th %-ile)</t>
  </si>
  <si>
    <t>High (90-th %-ile)</t>
  </si>
  <si>
    <t>Number of employees exposed</t>
  </si>
  <si>
    <t>Net cost of additional noise per person</t>
  </si>
  <si>
    <t>Overall net cost of additional noise</t>
  </si>
  <si>
    <t>Nelson Acoustics</t>
  </si>
  <si>
    <t>David Nelson</t>
  </si>
  <si>
    <t>Christian Nelson</t>
  </si>
  <si>
    <t>Net Present Value</t>
  </si>
  <si>
    <t>Quoted sound pressure level [dBA]</t>
  </si>
  <si>
    <t>Criterion sound pressure level [dBA]</t>
  </si>
  <si>
    <t>Quote 1</t>
  </si>
  <si>
    <t>Quote 2</t>
  </si>
  <si>
    <t>Quote 3</t>
  </si>
  <si>
    <t>David Nelson</t>
  </si>
  <si>
    <t>Installed Room Size</t>
  </si>
  <si>
    <t>Very Small (2,000 - 5,000 cu. ft.)</t>
  </si>
  <si>
    <t>Small (5,000 - 25,000 cu. ft.)</t>
  </si>
  <si>
    <t>Medium (25,000 - 250,000 ft.)</t>
  </si>
  <si>
    <t>Large (&gt; 250,000 cu. ft.)</t>
  </si>
  <si>
    <t>Free Field or Outdoors</t>
  </si>
  <si>
    <t>Tradeoff Analysis (noise emission data in SPL)</t>
  </si>
  <si>
    <t>Tradeoff Analysis (noise emission data in PWL)</t>
  </si>
  <si>
    <t>To edit worksheet: use Excel menus to unprotect sheet. No password required.</t>
  </si>
  <si>
    <t>Initial values are for example only.</t>
  </si>
  <si>
    <t>P(L)</t>
  </si>
  <si>
    <t>I95(L)</t>
  </si>
  <si>
    <t>February 4 2012</t>
  </si>
  <si>
    <t>Criterion sound power level [dBA]</t>
  </si>
  <si>
    <t>Quoted sound power level [dBA]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</si>
</sst>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"/>
    <numFmt numFmtId="168" formatCode="0.0%"/>
    <numFmt numFmtId="169" formatCode="&quot;$&quot;#,##0.0_);[Red]\(&quot;$&quot;#,##0.0\)"/>
    <numFmt numFmtId="170" formatCode="&quot;$&quot;#,##0.000_);[Red]\(&quot;$&quot;#,##0.000\)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11" fillId="12" borderId="0" applyNumberFormat="0" applyBorder="0" applyAlignment="0" applyProtection="0"/>
    <xf numFmtId="0" fontId="15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16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11" fontId="0" fillId="0" borderId="0" xfId="0" applyNumberFormat="1" applyAlignment="1">
      <alignment/>
    </xf>
    <xf numFmtId="6" fontId="0" fillId="5" borderId="10" xfId="0" applyNumberFormat="1" applyFill="1" applyBorder="1" applyAlignment="1">
      <alignment/>
    </xf>
    <xf numFmtId="0" fontId="0" fillId="0" borderId="0" xfId="0" applyAlignment="1">
      <alignment horizontal="right"/>
    </xf>
    <xf numFmtId="9" fontId="0" fillId="5" borderId="10" xfId="59" applyNumberFormat="1" applyFill="1" applyBorder="1" applyAlignment="1">
      <alignment/>
    </xf>
    <xf numFmtId="9" fontId="0" fillId="5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2" fontId="0" fillId="5" borderId="10" xfId="59" applyNumberFormat="1" applyFill="1" applyBorder="1" applyAlignment="1">
      <alignment/>
    </xf>
    <xf numFmtId="0" fontId="3" fillId="0" borderId="10" xfId="0" applyFont="1" applyBorder="1" applyAlignment="1" applyProtection="1">
      <alignment/>
      <protection/>
    </xf>
    <xf numFmtId="6" fontId="3" fillId="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center"/>
    </xf>
    <xf numFmtId="0" fontId="3" fillId="16" borderId="11" xfId="0" applyFont="1" applyFill="1" applyBorder="1" applyAlignment="1" applyProtection="1">
      <alignment horizontal="center"/>
      <protection locked="0"/>
    </xf>
    <xf numFmtId="0" fontId="3" fillId="16" borderId="12" xfId="0" applyFont="1" applyFill="1" applyBorder="1" applyAlignment="1" applyProtection="1">
      <alignment horizontal="center"/>
      <protection locked="0"/>
    </xf>
    <xf numFmtId="0" fontId="3" fillId="16" borderId="13" xfId="0" applyFont="1" applyFill="1" applyBorder="1" applyAlignment="1" applyProtection="1">
      <alignment horizontal="center"/>
      <protection locked="0"/>
    </xf>
    <xf numFmtId="0" fontId="0" fillId="16" borderId="0" xfId="0" applyFill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6" fontId="0" fillId="5" borderId="10" xfId="0" applyNumberFormat="1" applyFont="1" applyFill="1" applyBorder="1" applyAlignment="1" applyProtection="1">
      <alignment horizontal="center"/>
      <protection hidden="1"/>
    </xf>
    <xf numFmtId="0" fontId="3" fillId="16" borderId="11" xfId="0" applyFont="1" applyFill="1" applyBorder="1" applyAlignment="1" applyProtection="1">
      <alignment horizontal="center"/>
      <protection locked="0"/>
    </xf>
    <xf numFmtId="0" fontId="3" fillId="16" borderId="15" xfId="0" applyFont="1" applyFill="1" applyBorder="1" applyAlignment="1" applyProtection="1">
      <alignment horizontal="center"/>
      <protection locked="0"/>
    </xf>
    <xf numFmtId="0" fontId="3" fillId="16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1095375</xdr:colOff>
      <xdr:row>7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705"/>
        <a:stretch>
          <a:fillRect/>
        </a:stretch>
      </xdr:blipFill>
      <xdr:spPr>
        <a:xfrm>
          <a:off x="19050" y="571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1095375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705"/>
        <a:stretch>
          <a:fillRect/>
        </a:stretch>
      </xdr:blipFill>
      <xdr:spPr>
        <a:xfrm>
          <a:off x="19050" y="571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showGridLines="0" zoomScale="125" zoomScaleNormal="125" zoomScalePageLayoutView="0" workbookViewId="0" topLeftCell="A1">
      <selection activeCell="A26" sqref="A26"/>
    </sheetView>
  </sheetViews>
  <sheetFormatPr defaultColWidth="8.8515625" defaultRowHeight="12.75" zeroHeight="1"/>
  <cols>
    <col min="1" max="1" width="35.28125" style="0" customWidth="1"/>
    <col min="2" max="4" width="12.00390625" style="0" customWidth="1"/>
    <col min="5" max="5" width="6.28125" style="0" customWidth="1"/>
    <col min="6" max="16384" width="8.8515625" style="0" hidden="1" customWidth="1"/>
  </cols>
  <sheetData>
    <row r="1" ht="12.75"/>
    <row r="2" ht="12.75"/>
    <row r="3" spans="21:23" ht="12.75">
      <c r="U3" s="11">
        <v>0</v>
      </c>
      <c r="W3" t="s">
        <v>7</v>
      </c>
    </row>
    <row r="4" spans="21:23" ht="12.75">
      <c r="U4" s="11">
        <v>5</v>
      </c>
      <c r="W4" t="s">
        <v>3</v>
      </c>
    </row>
    <row r="5" ht="12.75">
      <c r="W5" t="s">
        <v>6</v>
      </c>
    </row>
    <row r="6" ht="12.75">
      <c r="W6" t="s">
        <v>4</v>
      </c>
    </row>
    <row r="7" ht="12.75">
      <c r="W7" t="s">
        <v>8</v>
      </c>
    </row>
    <row r="8" spans="1:10" ht="12.75">
      <c r="A8" s="9" t="s">
        <v>28</v>
      </c>
      <c r="B8" s="8"/>
      <c r="C8" s="8"/>
      <c r="D8" s="8"/>
      <c r="E8" s="8"/>
      <c r="F8" s="8"/>
      <c r="G8" s="8"/>
      <c r="H8" s="8"/>
      <c r="I8" s="8"/>
      <c r="J8" s="8"/>
    </row>
    <row r="9" spans="1:10" ht="12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5:10" ht="12">
      <c r="E10" s="16"/>
      <c r="F10" s="16"/>
      <c r="G10" s="16"/>
      <c r="H10" s="16"/>
      <c r="I10" s="16"/>
      <c r="J10" s="16"/>
    </row>
    <row r="11" spans="5:10" ht="12">
      <c r="E11" s="16"/>
      <c r="F11" s="16"/>
      <c r="G11" s="16"/>
      <c r="H11" s="16"/>
      <c r="I11" s="16"/>
      <c r="J11" s="16"/>
    </row>
    <row r="12" spans="1:4" ht="12.75" thickBot="1">
      <c r="A12" s="15"/>
      <c r="B12" s="19" t="s">
        <v>18</v>
      </c>
      <c r="C12" s="19" t="s">
        <v>19</v>
      </c>
      <c r="D12" s="19" t="s">
        <v>20</v>
      </c>
    </row>
    <row r="13" spans="1:4" ht="12.75" thickBot="1">
      <c r="A13" t="s">
        <v>17</v>
      </c>
      <c r="B13" s="27">
        <v>85</v>
      </c>
      <c r="C13" s="28"/>
      <c r="D13" s="29"/>
    </row>
    <row r="14" spans="1:16" ht="12.75" thickBot="1">
      <c r="A14" t="s">
        <v>9</v>
      </c>
      <c r="B14" s="27">
        <v>200</v>
      </c>
      <c r="C14" s="28"/>
      <c r="D14" s="29"/>
      <c r="N14" t="s">
        <v>32</v>
      </c>
      <c r="P14" t="s">
        <v>33</v>
      </c>
    </row>
    <row r="15" spans="1:4" ht="12.75" thickBot="1">
      <c r="A15" t="s">
        <v>16</v>
      </c>
      <c r="B15" s="20">
        <v>90</v>
      </c>
      <c r="C15" s="22">
        <v>88</v>
      </c>
      <c r="D15" s="21">
        <v>86</v>
      </c>
    </row>
    <row r="16" spans="2:4" ht="12">
      <c r="B16" s="17"/>
      <c r="C16" s="17"/>
      <c r="D16" s="17"/>
    </row>
    <row r="17" spans="1:4" ht="12">
      <c r="A17" s="13" t="s">
        <v>10</v>
      </c>
      <c r="B17" s="26">
        <f>+X30-X22</f>
        <v>3894.903750000005</v>
      </c>
      <c r="C17" s="26">
        <f>+X30-X41</f>
        <v>1649.086888752001</v>
      </c>
      <c r="D17" s="26">
        <f>+X30-X52</f>
        <v>421.8858503520005</v>
      </c>
    </row>
    <row r="18" spans="1:13" ht="12">
      <c r="A18" s="13" t="s">
        <v>11</v>
      </c>
      <c r="B18" s="26">
        <f>B17*$B$14</f>
        <v>778980.7500000009</v>
      </c>
      <c r="C18" s="26">
        <f>C17*$B$14</f>
        <v>329817.3777504002</v>
      </c>
      <c r="D18" s="26">
        <f>D17*$B$14</f>
        <v>84377.1700704001</v>
      </c>
      <c r="M18" t="s">
        <v>1</v>
      </c>
    </row>
    <row r="19" spans="1:24" ht="12">
      <c r="A19" s="1"/>
      <c r="B19" s="17"/>
      <c r="C19" s="17"/>
      <c r="D19" s="17"/>
      <c r="K19">
        <v>0</v>
      </c>
      <c r="L19">
        <f>+(B$15-U$3-80+10^-99)^K19</f>
        <v>1</v>
      </c>
      <c r="M19">
        <v>0.0515</v>
      </c>
      <c r="N19">
        <f>+M19*L19</f>
        <v>0.0515</v>
      </c>
      <c r="P19">
        <f>-5.235*10^-3</f>
        <v>-0.005235</v>
      </c>
      <c r="Q19">
        <f>+P19*L19</f>
        <v>-0.005235</v>
      </c>
      <c r="T19" t="s">
        <v>0</v>
      </c>
      <c r="U19" s="5" t="s">
        <v>5</v>
      </c>
      <c r="V19" s="5" t="s">
        <v>2</v>
      </c>
      <c r="X19" s="5" t="s">
        <v>15</v>
      </c>
    </row>
    <row r="20" spans="11:24" ht="12">
      <c r="K20">
        <v>1</v>
      </c>
      <c r="L20">
        <f>+(B$15-U$3-80+10^-99)^K20</f>
        <v>10</v>
      </c>
      <c r="M20">
        <f>0.0044592</f>
        <v>0.0044592</v>
      </c>
      <c r="N20">
        <f>+M20*L20</f>
        <v>0.044592</v>
      </c>
      <c r="P20">
        <v>0.02558</v>
      </c>
      <c r="Q20">
        <f>+P20*L20</f>
        <v>0.25579999999999997</v>
      </c>
      <c r="T20" s="6">
        <f>+Q25</f>
        <v>0.07394312000000006</v>
      </c>
      <c r="U20" s="10">
        <v>1</v>
      </c>
      <c r="V20" s="4">
        <v>-66000</v>
      </c>
      <c r="X20" s="4">
        <f>+V20*U20*T20</f>
        <v>-4880.245920000004</v>
      </c>
    </row>
    <row r="21" spans="1:24" ht="12.75" thickBot="1">
      <c r="A21" s="25"/>
      <c r="B21" s="25"/>
      <c r="C21" s="25"/>
      <c r="D21" s="25"/>
      <c r="E21" s="25"/>
      <c r="K21">
        <v>2</v>
      </c>
      <c r="L21">
        <f>+(B$15-U$3-80+10^-99)^K21</f>
        <v>100</v>
      </c>
      <c r="M21" s="3">
        <v>-0.00088057</v>
      </c>
      <c r="N21">
        <f>+M21*L21</f>
        <v>-0.088057</v>
      </c>
      <c r="P21">
        <f>-4.287615*10^-3</f>
        <v>-0.004287615</v>
      </c>
      <c r="Q21">
        <f>+P21*L21</f>
        <v>-0.42876149999999996</v>
      </c>
      <c r="T21" s="7">
        <f>+IF((B15-U3)&lt;=80,0.0515,IF((B15-U3)&gt;111,1,N25))</f>
        <v>0.12838100000000002</v>
      </c>
      <c r="U21" s="10">
        <v>1</v>
      </c>
      <c r="V21" s="4">
        <v>-39000</v>
      </c>
      <c r="X21" s="4">
        <f>+V21*U21*T21</f>
        <v>-5006.859000000001</v>
      </c>
    </row>
    <row r="22" spans="1:24" ht="12.75" thickTop="1">
      <c r="A22" t="s">
        <v>30</v>
      </c>
      <c r="K22">
        <v>3</v>
      </c>
      <c r="L22">
        <f>+(B$15-U$3-80+10^-99)^K22</f>
        <v>1000</v>
      </c>
      <c r="M22" s="3">
        <v>0.0001512</v>
      </c>
      <c r="N22">
        <f>+M22*L22</f>
        <v>0.1512</v>
      </c>
      <c r="P22">
        <f>3.028893*10^-4</f>
        <v>0.00030288930000000003</v>
      </c>
      <c r="Q22">
        <f>+P22*L22</f>
        <v>0.30288930000000003</v>
      </c>
      <c r="X22" s="12">
        <f>SUM(X20:X21)</f>
        <v>-9887.104920000005</v>
      </c>
    </row>
    <row r="23" spans="1:17" ht="12">
      <c r="A23" t="s">
        <v>31</v>
      </c>
      <c r="K23">
        <v>4</v>
      </c>
      <c r="L23">
        <f>+(B$15-U$3-80+10^-99)^K23</f>
        <v>10000</v>
      </c>
      <c r="M23" s="3">
        <v>-3.0854E-06</v>
      </c>
      <c r="N23">
        <f>+M23*L23</f>
        <v>-0.030854000000000003</v>
      </c>
      <c r="P23">
        <f>-5.074968*10^-6</f>
        <v>-5.074968E-06</v>
      </c>
      <c r="Q23">
        <f>+P23*L23</f>
        <v>-0.05074968</v>
      </c>
    </row>
    <row r="24" ht="12"/>
    <row r="25" spans="1:17" ht="12">
      <c r="A25" t="s">
        <v>12</v>
      </c>
      <c r="N25">
        <f>SUM(N19:N23)</f>
        <v>0.12838100000000002</v>
      </c>
      <c r="Q25">
        <f>IF(B15&gt;=80.2,SUM(Q19:Q23),0)</f>
        <v>0.07394312000000006</v>
      </c>
    </row>
    <row r="26" ht="12">
      <c r="A26" s="14" t="s">
        <v>34</v>
      </c>
    </row>
    <row r="27" spans="13:24" ht="12">
      <c r="M27" t="s">
        <v>1</v>
      </c>
      <c r="T27" t="s">
        <v>0</v>
      </c>
      <c r="U27" s="5" t="s">
        <v>5</v>
      </c>
      <c r="V27" s="5" t="s">
        <v>2</v>
      </c>
      <c r="X27" s="5" t="s">
        <v>15</v>
      </c>
    </row>
    <row r="28" spans="1:24" ht="12">
      <c r="A28" t="s">
        <v>13</v>
      </c>
      <c r="K28">
        <v>0</v>
      </c>
      <c r="L28">
        <f>+(B$13-U$3-80+10^-99)^K28</f>
        <v>1</v>
      </c>
      <c r="M28">
        <v>0.0515</v>
      </c>
      <c r="N28">
        <f>+M28*L28</f>
        <v>0.0515</v>
      </c>
      <c r="P28">
        <f>-5.235*10^-3</f>
        <v>-0.005235</v>
      </c>
      <c r="Q28">
        <f>+P28*L28</f>
        <v>-0.005235</v>
      </c>
      <c r="T28" s="6">
        <f>+Q34</f>
        <v>0.050163932499999994</v>
      </c>
      <c r="U28" s="10">
        <v>1</v>
      </c>
      <c r="V28" s="4">
        <f>+V20</f>
        <v>-66000</v>
      </c>
      <c r="X28" s="4">
        <f>+V28*U28*T28</f>
        <v>-3310.819545</v>
      </c>
    </row>
    <row r="29" spans="1:24" ht="12">
      <c r="A29" t="s">
        <v>14</v>
      </c>
      <c r="K29">
        <v>1</v>
      </c>
      <c r="L29">
        <f>+(B$13-U$3-80+10^-99)^K29</f>
        <v>5</v>
      </c>
      <c r="M29">
        <f>0.0044592</f>
        <v>0.0044592</v>
      </c>
      <c r="N29">
        <f>+M29*L29</f>
        <v>0.022296</v>
      </c>
      <c r="P29">
        <v>0.02558</v>
      </c>
      <c r="Q29">
        <f>+P29*L29</f>
        <v>0.12789999999999999</v>
      </c>
      <c r="T29" s="7">
        <f>+IF((B13-U3)&lt;=80,0.0515,IF((B13-U3)&gt;111,1,N35))</f>
        <v>0.068753375</v>
      </c>
      <c r="U29" s="10">
        <v>1</v>
      </c>
      <c r="V29" s="4">
        <f>+V21</f>
        <v>-39000</v>
      </c>
      <c r="X29" s="4">
        <f>+V29*U29*T29</f>
        <v>-2681.381625</v>
      </c>
    </row>
    <row r="30" spans="11:24" ht="12">
      <c r="K30">
        <v>2</v>
      </c>
      <c r="L30">
        <f>+(B$13-U$3-80+10^-99)^K30</f>
        <v>25</v>
      </c>
      <c r="M30" s="3">
        <v>-0.00088057</v>
      </c>
      <c r="N30">
        <f>+M30*L30</f>
        <v>-0.02201425</v>
      </c>
      <c r="P30">
        <f>-4.287615*10^-3</f>
        <v>-0.004287615</v>
      </c>
      <c r="Q30">
        <f>+P30*L30</f>
        <v>-0.10719037499999999</v>
      </c>
      <c r="X30" s="12">
        <f>SUM(X28:X29)</f>
        <v>-5992.20117</v>
      </c>
    </row>
    <row r="31" spans="11:17" ht="12">
      <c r="K31">
        <v>3</v>
      </c>
      <c r="L31">
        <f>+(B$13-U$3-80+10^-99)^K31</f>
        <v>125</v>
      </c>
      <c r="M31" s="3">
        <v>0.0001512</v>
      </c>
      <c r="N31">
        <f>+M31*L31</f>
        <v>0.0189</v>
      </c>
      <c r="P31">
        <f>3.028893*10^-4</f>
        <v>0.00030288930000000003</v>
      </c>
      <c r="Q31">
        <f>+P31*L31</f>
        <v>0.037861162500000003</v>
      </c>
    </row>
    <row r="32" spans="11:17" ht="12" hidden="1">
      <c r="K32">
        <v>4</v>
      </c>
      <c r="L32">
        <f>+(B$13-U$3-80+10^-99)^K32</f>
        <v>625</v>
      </c>
      <c r="M32" s="3">
        <v>-3.0854E-06</v>
      </c>
      <c r="N32">
        <f>+M32*L32</f>
        <v>-0.0019283750000000002</v>
      </c>
      <c r="P32">
        <f>-5.074968*10^-6</f>
        <v>-5.074968E-06</v>
      </c>
      <c r="Q32">
        <f>+P32*L32</f>
        <v>-0.003171855</v>
      </c>
    </row>
    <row r="33" spans="2:13" ht="12" hidden="1">
      <c r="B33" s="1"/>
      <c r="M33" s="3"/>
    </row>
    <row r="34" ht="12" hidden="1">
      <c r="Q34">
        <f>IF(B13&gt;=80.2,SUM(Q28:Q32),0)</f>
        <v>0.050163932499999994</v>
      </c>
    </row>
    <row r="35" ht="12" hidden="1">
      <c r="N35">
        <f>SUM(N28:N33)</f>
        <v>0.068753375</v>
      </c>
    </row>
    <row r="36" ht="12" hidden="1"/>
    <row r="37" ht="12" hidden="1">
      <c r="E37" s="2"/>
    </row>
    <row r="38" spans="13:24" ht="12" hidden="1">
      <c r="M38" t="s">
        <v>1</v>
      </c>
      <c r="T38" t="s">
        <v>0</v>
      </c>
      <c r="U38" s="5" t="s">
        <v>5</v>
      </c>
      <c r="V38" s="5" t="s">
        <v>2</v>
      </c>
      <c r="X38" s="5" t="s">
        <v>15</v>
      </c>
    </row>
    <row r="39" spans="11:24" ht="12" hidden="1">
      <c r="K39">
        <v>0</v>
      </c>
      <c r="L39">
        <f>+(C$15-U$3-80+10^-99)^K39</f>
        <v>1</v>
      </c>
      <c r="M39">
        <v>0.0515</v>
      </c>
      <c r="N39">
        <f>+M39*L39</f>
        <v>0.0515</v>
      </c>
      <c r="P39">
        <f>-5.235*10^-3</f>
        <v>-0.005235</v>
      </c>
      <c r="Q39">
        <f>+P39*L39</f>
        <v>-0.005235</v>
      </c>
      <c r="T39" s="6">
        <f>+Q45</f>
        <v>0.05928989267200002</v>
      </c>
      <c r="U39" s="10">
        <v>1</v>
      </c>
      <c r="V39" s="4">
        <f>+V28</f>
        <v>-66000</v>
      </c>
      <c r="X39" s="4">
        <f>+V39*U39*T39</f>
        <v>-3913.1329163520013</v>
      </c>
    </row>
    <row r="40" spans="11:24" ht="12" hidden="1">
      <c r="K40">
        <v>1</v>
      </c>
      <c r="L40">
        <f>+(C$15-U$3-80+10^-99)^K40</f>
        <v>8</v>
      </c>
      <c r="M40">
        <f>0.0044592</f>
        <v>0.0044592</v>
      </c>
      <c r="N40">
        <f>+M40*L40</f>
        <v>0.0356736</v>
      </c>
      <c r="P40">
        <v>0.02558</v>
      </c>
      <c r="Q40">
        <f>+P40*L40</f>
        <v>0.20464</v>
      </c>
      <c r="T40" s="7">
        <f>+IF((C$15-U$3)&lt;=80,0.0515,IF((C$15-U$3)&gt;111,1,N46))</f>
        <v>0.09559372159999999</v>
      </c>
      <c r="U40" s="10">
        <v>1</v>
      </c>
      <c r="V40" s="4">
        <f>+V29</f>
        <v>-39000</v>
      </c>
      <c r="X40" s="4">
        <f>+V40*U40*T40</f>
        <v>-3728.1551423999995</v>
      </c>
    </row>
    <row r="41" spans="11:24" ht="12" hidden="1">
      <c r="K41">
        <v>2</v>
      </c>
      <c r="L41">
        <f>+(C$15-U$3-80+10^-99)^K41</f>
        <v>64</v>
      </c>
      <c r="M41" s="3">
        <v>-0.00088057</v>
      </c>
      <c r="N41">
        <f>+M41*L41</f>
        <v>-0.05635648</v>
      </c>
      <c r="P41">
        <f>-4.287615*10^-3</f>
        <v>-0.004287615</v>
      </c>
      <c r="Q41">
        <f>+P41*L41</f>
        <v>-0.27440736</v>
      </c>
      <c r="X41" s="12">
        <f>SUM(X39:X40)</f>
        <v>-7641.288058752001</v>
      </c>
    </row>
    <row r="42" spans="11:17" ht="12" hidden="1">
      <c r="K42">
        <v>3</v>
      </c>
      <c r="L42">
        <f>+(C$15-U$3-80+10^-99)^K42</f>
        <v>512</v>
      </c>
      <c r="M42" s="3">
        <v>0.0001512</v>
      </c>
      <c r="N42">
        <f>+M42*L42</f>
        <v>0.0774144</v>
      </c>
      <c r="P42">
        <f>3.028893*10^-4</f>
        <v>0.00030288930000000003</v>
      </c>
      <c r="Q42">
        <f>+P42*L42</f>
        <v>0.15507932160000001</v>
      </c>
    </row>
    <row r="43" spans="11:17" ht="12" hidden="1">
      <c r="K43">
        <v>4</v>
      </c>
      <c r="L43">
        <f>+(C$15-U$3-80+10^-99)^K43</f>
        <v>4096</v>
      </c>
      <c r="M43" s="3">
        <v>-3.0854E-06</v>
      </c>
      <c r="N43">
        <f>+M43*L43</f>
        <v>-0.0126377984</v>
      </c>
      <c r="P43">
        <f>-5.074968*10^-6</f>
        <v>-5.074968E-06</v>
      </c>
      <c r="Q43">
        <f>+P43*L43</f>
        <v>-0.020787068928</v>
      </c>
    </row>
    <row r="44" spans="2:13" ht="12" hidden="1">
      <c r="B44" s="1"/>
      <c r="M44" s="3"/>
    </row>
    <row r="45" spans="2:17" ht="12" hidden="1">
      <c r="B45" s="1"/>
      <c r="Q45">
        <f>IF(C15&gt;=80.2,SUM(Q39:Q43),0)</f>
        <v>0.05928989267200002</v>
      </c>
    </row>
    <row r="46" ht="12" hidden="1">
      <c r="N46">
        <f>SUM(N39:N44)</f>
        <v>0.09559372159999999</v>
      </c>
    </row>
    <row r="47" ht="12" hidden="1"/>
    <row r="48" ht="12" hidden="1"/>
    <row r="49" spans="13:24" ht="12" hidden="1">
      <c r="M49" t="s">
        <v>1</v>
      </c>
      <c r="T49" t="s">
        <v>0</v>
      </c>
      <c r="U49" s="5" t="s">
        <v>5</v>
      </c>
      <c r="V49" s="5" t="s">
        <v>2</v>
      </c>
      <c r="X49" s="5" t="s">
        <v>15</v>
      </c>
    </row>
    <row r="50" spans="11:24" ht="12" hidden="1">
      <c r="K50">
        <v>0</v>
      </c>
      <c r="L50">
        <f>+(D$15-U$3-80+10^-99)^K50</f>
        <v>1</v>
      </c>
      <c r="M50">
        <v>0.0515</v>
      </c>
      <c r="N50">
        <f>+M50*L50</f>
        <v>0.0515</v>
      </c>
      <c r="P50">
        <f>-5.235*10^-3</f>
        <v>-0.005235</v>
      </c>
      <c r="Q50">
        <f>+P50*L50</f>
        <v>-0.005235</v>
      </c>
      <c r="T50" s="6">
        <f>+Q56</f>
        <v>0.05273779027200002</v>
      </c>
      <c r="U50" s="10">
        <v>1</v>
      </c>
      <c r="V50" s="4">
        <f>+V39</f>
        <v>-66000</v>
      </c>
      <c r="X50" s="4">
        <f>+V50*U50*T50</f>
        <v>-3480.694157952001</v>
      </c>
    </row>
    <row r="51" spans="11:24" ht="12" hidden="1">
      <c r="K51">
        <v>1</v>
      </c>
      <c r="L51">
        <f>+(D$15-U$3-80+10^-99)^K51</f>
        <v>6</v>
      </c>
      <c r="M51">
        <f>0.0044592</f>
        <v>0.0044592</v>
      </c>
      <c r="N51">
        <f>+M51*L51</f>
        <v>0.0267552</v>
      </c>
      <c r="P51">
        <v>0.02558</v>
      </c>
      <c r="Q51">
        <f>+P51*L51</f>
        <v>0.15348</v>
      </c>
      <c r="T51" s="7">
        <f>+IF((C$15-U$3)&lt;=80,0.0515,IF((C$15-U$3)&gt;111,1,N57))</f>
        <v>0.07521520159999999</v>
      </c>
      <c r="U51" s="10">
        <v>1</v>
      </c>
      <c r="V51" s="4">
        <f>+V40</f>
        <v>-39000</v>
      </c>
      <c r="X51" s="4">
        <f>+V51*U51*T51</f>
        <v>-2933.3928623999996</v>
      </c>
    </row>
    <row r="52" spans="11:24" ht="12" hidden="1">
      <c r="K52">
        <v>2</v>
      </c>
      <c r="L52">
        <f>+(D$15-U$3-80+10^-99)^K52</f>
        <v>36</v>
      </c>
      <c r="M52" s="3">
        <v>-0.00088057</v>
      </c>
      <c r="N52">
        <f>+M52*L52</f>
        <v>-0.03170052</v>
      </c>
      <c r="P52">
        <f>-4.287615*10^-3</f>
        <v>-0.004287615</v>
      </c>
      <c r="Q52">
        <f>+P52*L52</f>
        <v>-0.15435414</v>
      </c>
      <c r="X52" s="12">
        <f>SUM(X50:X51)</f>
        <v>-6414.087020352001</v>
      </c>
    </row>
    <row r="53" spans="11:17" ht="12" hidden="1">
      <c r="K53">
        <v>3</v>
      </c>
      <c r="L53">
        <f>+(D$15-U$3-80+10^-99)^K53</f>
        <v>216</v>
      </c>
      <c r="M53" s="3">
        <v>0.0001512</v>
      </c>
      <c r="N53">
        <f>+M53*L53</f>
        <v>0.0326592</v>
      </c>
      <c r="P53">
        <f>3.028893*10^-4</f>
        <v>0.00030288930000000003</v>
      </c>
      <c r="Q53">
        <f>+P53*L53</f>
        <v>0.0654240888</v>
      </c>
    </row>
    <row r="54" spans="11:17" ht="12" hidden="1">
      <c r="K54">
        <v>4</v>
      </c>
      <c r="L54">
        <f>+(D$15-U$3-80+10^-99)^K54</f>
        <v>1296</v>
      </c>
      <c r="M54" s="3">
        <v>-3.0854E-06</v>
      </c>
      <c r="N54">
        <f>+M54*L54</f>
        <v>-0.0039986784000000004</v>
      </c>
      <c r="P54">
        <f>-5.074968*10^-6</f>
        <v>-5.074968E-06</v>
      </c>
      <c r="Q54">
        <f>+P54*L54</f>
        <v>-0.006577158527999999</v>
      </c>
    </row>
    <row r="55" ht="12" hidden="1">
      <c r="M55" s="3"/>
    </row>
    <row r="56" ht="12" hidden="1">
      <c r="Q56">
        <f>IF(D15&gt;=80.2,SUM(Q50:Q54),0)</f>
        <v>0.05273779027200002</v>
      </c>
    </row>
    <row r="57" ht="12" hidden="1">
      <c r="N57">
        <f>SUM(N50:N55)</f>
        <v>0.07521520159999999</v>
      </c>
    </row>
  </sheetData>
  <sheetProtection sheet="1" objects="1" scenarios="1" selectLockedCells="1"/>
  <mergeCells count="2">
    <mergeCell ref="B13:D13"/>
    <mergeCell ref="B14:D14"/>
  </mergeCells>
  <printOptions/>
  <pageMargins left="0.75" right="0.75" top="1" bottom="1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5"/>
  <sheetViews>
    <sheetView showGridLines="0" tabSelected="1" zoomScale="125" zoomScaleNormal="125" zoomScalePageLayoutView="0" workbookViewId="0" topLeftCell="A1">
      <selection activeCell="B13" sqref="B13:D13"/>
    </sheetView>
  </sheetViews>
  <sheetFormatPr defaultColWidth="8.8515625" defaultRowHeight="12.75" zeroHeight="1"/>
  <cols>
    <col min="1" max="1" width="35.28125" style="0" customWidth="1"/>
    <col min="2" max="4" width="12.00390625" style="0" customWidth="1"/>
    <col min="5" max="5" width="7.00390625" style="0" customWidth="1"/>
    <col min="6" max="16384" width="8.8515625" style="0" hidden="1" customWidth="1"/>
  </cols>
  <sheetData>
    <row r="1" ht="12.75"/>
    <row r="2" ht="12.75"/>
    <row r="3" spans="17:19" ht="12.75">
      <c r="Q3" s="11">
        <f>-INDEX($R$10:$R$14,$Q$10,1)</f>
        <v>5</v>
      </c>
      <c r="S3" t="s">
        <v>7</v>
      </c>
    </row>
    <row r="4" ht="12.75">
      <c r="S4" t="s">
        <v>3</v>
      </c>
    </row>
    <row r="5" ht="12.75">
      <c r="S5" t="s">
        <v>6</v>
      </c>
    </row>
    <row r="6" ht="12.75">
      <c r="S6" t="s">
        <v>4</v>
      </c>
    </row>
    <row r="7" ht="12.75">
      <c r="S7" t="s">
        <v>8</v>
      </c>
    </row>
    <row r="8" spans="1:6" ht="12.75">
      <c r="A8" s="9" t="s">
        <v>29</v>
      </c>
      <c r="B8" s="8"/>
      <c r="C8" s="8"/>
      <c r="D8" s="8"/>
      <c r="E8" s="8"/>
      <c r="F8" s="8"/>
    </row>
    <row r="9" spans="1:6" ht="12">
      <c r="A9" s="15"/>
      <c r="B9" s="16"/>
      <c r="C9" s="16"/>
      <c r="D9" s="16"/>
      <c r="E9" s="16"/>
      <c r="F9" s="16"/>
    </row>
    <row r="10" spans="5:19" ht="12">
      <c r="E10" s="16"/>
      <c r="F10" s="16"/>
      <c r="Q10" s="18">
        <v>3</v>
      </c>
      <c r="R10">
        <v>0</v>
      </c>
      <c r="S10" t="s">
        <v>23</v>
      </c>
    </row>
    <row r="11" spans="5:19" ht="12">
      <c r="E11" s="16"/>
      <c r="F11" s="16"/>
      <c r="R11">
        <v>-2</v>
      </c>
      <c r="S11" t="s">
        <v>24</v>
      </c>
    </row>
    <row r="12" spans="1:19" ht="12.75" thickBot="1">
      <c r="A12" s="15"/>
      <c r="B12" s="19" t="s">
        <v>18</v>
      </c>
      <c r="C12" s="19" t="s">
        <v>19</v>
      </c>
      <c r="D12" s="19" t="s">
        <v>20</v>
      </c>
      <c r="R12">
        <v>-5</v>
      </c>
      <c r="S12" t="s">
        <v>25</v>
      </c>
    </row>
    <row r="13" spans="1:19" ht="12.75" thickBot="1">
      <c r="A13" t="s">
        <v>35</v>
      </c>
      <c r="B13" s="27">
        <v>90</v>
      </c>
      <c r="C13" s="28"/>
      <c r="D13" s="29"/>
      <c r="R13">
        <v>-6</v>
      </c>
      <c r="S13" t="s">
        <v>26</v>
      </c>
    </row>
    <row r="14" spans="1:19" ht="12.75" thickBot="1">
      <c r="A14" t="s">
        <v>9</v>
      </c>
      <c r="B14" s="27">
        <v>10</v>
      </c>
      <c r="C14" s="28"/>
      <c r="D14" s="29"/>
      <c r="R14">
        <v>-7</v>
      </c>
      <c r="S14" t="s">
        <v>27</v>
      </c>
    </row>
    <row r="15" spans="1:4" ht="12.75" thickBot="1">
      <c r="A15" t="s">
        <v>36</v>
      </c>
      <c r="B15" s="20">
        <v>88</v>
      </c>
      <c r="C15" s="22">
        <v>91</v>
      </c>
      <c r="D15" s="21">
        <v>93</v>
      </c>
    </row>
    <row r="16" spans="2:4" ht="12.75">
      <c r="B16" s="17"/>
      <c r="C16" s="17"/>
      <c r="D16" s="17"/>
    </row>
    <row r="17" ht="12.75">
      <c r="A17" s="23" t="s">
        <v>22</v>
      </c>
    </row>
    <row r="18" ht="12.75">
      <c r="I18" t="s">
        <v>1</v>
      </c>
    </row>
    <row r="19" spans="1:20" ht="12">
      <c r="A19" s="1"/>
      <c r="B19" s="17"/>
      <c r="C19" s="17"/>
      <c r="D19" s="17"/>
      <c r="G19">
        <v>0</v>
      </c>
      <c r="H19">
        <f>+(B$15-Q$3-80+10^-99)^G19</f>
        <v>1</v>
      </c>
      <c r="I19">
        <v>0.0515</v>
      </c>
      <c r="J19">
        <f>+I19*H19</f>
        <v>0.0515</v>
      </c>
      <c r="L19">
        <f>-5.235*10^-3</f>
        <v>-0.005235</v>
      </c>
      <c r="M19">
        <f>+L19*H19</f>
        <v>-0.005235</v>
      </c>
      <c r="P19" t="s">
        <v>0</v>
      </c>
      <c r="Q19" s="5" t="s">
        <v>5</v>
      </c>
      <c r="R19" s="5" t="s">
        <v>2</v>
      </c>
      <c r="T19" s="5" t="s">
        <v>15</v>
      </c>
    </row>
    <row r="20" spans="1:20" ht="12">
      <c r="A20" s="13" t="s">
        <v>10</v>
      </c>
      <c r="B20" s="26">
        <f>+T31-T22</f>
        <v>-4279.042828800004</v>
      </c>
      <c r="C20" s="26">
        <f>+T31-T41</f>
        <v>3470.000884199988</v>
      </c>
      <c r="D20" s="26">
        <f>+T31-T52</f>
        <v>14413.266124199996</v>
      </c>
      <c r="G20">
        <v>1</v>
      </c>
      <c r="H20">
        <f>+(B$15-Q$3-80+10^-99)^G20</f>
        <v>3</v>
      </c>
      <c r="I20">
        <f>0.0044592</f>
        <v>0.0044592</v>
      </c>
      <c r="J20">
        <f>+I20*H20</f>
        <v>0.0133776</v>
      </c>
      <c r="L20">
        <v>0.02558</v>
      </c>
      <c r="M20">
        <f>+L20*H20</f>
        <v>0.07674</v>
      </c>
      <c r="P20" s="6">
        <f>+IF((B15-Q3)&lt;=80,0.0515,IF((B15-Q3)&gt;111,1,J25))</f>
        <v>0.06078495259999999</v>
      </c>
      <c r="Q20" s="10">
        <v>1</v>
      </c>
      <c r="R20" s="4">
        <v>-252000</v>
      </c>
      <c r="T20" s="4">
        <f>+R20*Q20*P20</f>
        <v>-15317.808055199997</v>
      </c>
    </row>
    <row r="21" spans="1:20" ht="12">
      <c r="A21" s="13" t="s">
        <v>11</v>
      </c>
      <c r="B21" s="26">
        <f>B20*$B$14</f>
        <v>-42790.42828800004</v>
      </c>
      <c r="C21" s="26">
        <f>C20*$B$14</f>
        <v>34700.00884199988</v>
      </c>
      <c r="D21" s="26">
        <f>D20*$B$14</f>
        <v>144132.66124199994</v>
      </c>
      <c r="G21">
        <v>2</v>
      </c>
      <c r="H21">
        <f>+(B$15-Q$3-80+10^-99)^G21</f>
        <v>9</v>
      </c>
      <c r="I21" s="3">
        <v>-0.00088057</v>
      </c>
      <c r="J21">
        <f>+I21*H21</f>
        <v>-0.00792513</v>
      </c>
      <c r="L21">
        <f>-4.287615*10^-3</f>
        <v>-0.004287615</v>
      </c>
      <c r="M21">
        <f>+L21*H21</f>
        <v>-0.038588535</v>
      </c>
      <c r="P21" s="7">
        <f>+P20</f>
        <v>0.06078495259999999</v>
      </c>
      <c r="Q21" s="10">
        <v>1</v>
      </c>
      <c r="R21" s="4">
        <v>-285000</v>
      </c>
      <c r="T21" s="4">
        <f>+R21*Q21*P21</f>
        <v>-17323.711491</v>
      </c>
    </row>
    <row r="22" spans="7:20" ht="12">
      <c r="G22">
        <v>3</v>
      </c>
      <c r="H22">
        <f>+(B$15-Q$3-80+10^-99)^G22</f>
        <v>27</v>
      </c>
      <c r="I22" s="3">
        <v>0.0001512</v>
      </c>
      <c r="J22">
        <f>+I22*H22</f>
        <v>0.0040824</v>
      </c>
      <c r="L22">
        <f>3.028893*10^-4</f>
        <v>0.00030288930000000003</v>
      </c>
      <c r="M22">
        <f>+L22*H22</f>
        <v>0.0081780111</v>
      </c>
      <c r="T22" s="12">
        <f>SUM(T20:T21)</f>
        <v>-32641.519546199997</v>
      </c>
    </row>
    <row r="23" spans="1:13" ht="12.75" thickBot="1">
      <c r="A23" s="24"/>
      <c r="B23" s="25"/>
      <c r="C23" s="25"/>
      <c r="D23" s="25"/>
      <c r="E23" s="25"/>
      <c r="G23">
        <v>4</v>
      </c>
      <c r="H23">
        <f>+(B$15-Q$3-80+10^-99)^G23</f>
        <v>81</v>
      </c>
      <c r="I23" s="3">
        <v>-3.0854E-06</v>
      </c>
      <c r="J23">
        <f>+I23*H23</f>
        <v>-0.00024991740000000003</v>
      </c>
      <c r="L23">
        <f>-5.074968*10^-6</f>
        <v>-5.074968E-06</v>
      </c>
      <c r="M23">
        <f>+L23*H23</f>
        <v>-0.00041107240799999995</v>
      </c>
    </row>
    <row r="24" ht="12.75" thickTop="1">
      <c r="A24" t="s">
        <v>30</v>
      </c>
    </row>
    <row r="25" spans="1:13" ht="12">
      <c r="A25" t="s">
        <v>31</v>
      </c>
      <c r="J25">
        <f>SUM(J19:J23)</f>
        <v>0.06078495259999999</v>
      </c>
      <c r="M25">
        <f>IF((B$15-Q$3)&gt;=0.3,SUM(M19:M23),0)</f>
        <v>0.040683403692</v>
      </c>
    </row>
    <row r="26" ht="12"/>
    <row r="27" spans="9:20" ht="12">
      <c r="I27" t="s">
        <v>1</v>
      </c>
      <c r="Q27" s="5"/>
      <c r="R27" s="5"/>
      <c r="T27" s="5"/>
    </row>
    <row r="28" spans="1:20" ht="12">
      <c r="A28" t="s">
        <v>12</v>
      </c>
      <c r="G28">
        <v>0</v>
      </c>
      <c r="H28">
        <f>+(B$13-Q$3-80+10^-99)^G28</f>
        <v>1</v>
      </c>
      <c r="I28">
        <v>0.0515</v>
      </c>
      <c r="J28">
        <f>+I28*H28</f>
        <v>0.0515</v>
      </c>
      <c r="L28">
        <f>-5.235*10^-3</f>
        <v>-0.005235</v>
      </c>
      <c r="M28">
        <f>+L28*H28</f>
        <v>-0.005235</v>
      </c>
      <c r="P28" t="s">
        <v>0</v>
      </c>
      <c r="Q28" s="5" t="s">
        <v>5</v>
      </c>
      <c r="R28" s="5" t="s">
        <v>2</v>
      </c>
      <c r="T28" s="5"/>
    </row>
    <row r="29" spans="1:20" ht="12">
      <c r="A29" s="14" t="s">
        <v>34</v>
      </c>
      <c r="G29">
        <v>1</v>
      </c>
      <c r="H29">
        <f>+(B$13-Q$3-80+10^-99)^G29</f>
        <v>5</v>
      </c>
      <c r="I29">
        <f>0.0044592</f>
        <v>0.0044592</v>
      </c>
      <c r="J29">
        <f>+I29*H29</f>
        <v>0.022296</v>
      </c>
      <c r="L29">
        <v>0.02558</v>
      </c>
      <c r="M29">
        <f>+L29*H29</f>
        <v>0.12789999999999999</v>
      </c>
      <c r="P29" s="6">
        <f>+IF((B13-Q3)&lt;=80,0.0515,IF((B13-Q3)&gt;111,1,J34))</f>
        <v>0.068753375</v>
      </c>
      <c r="Q29" s="10">
        <v>1</v>
      </c>
      <c r="R29" s="4">
        <v>-252000</v>
      </c>
      <c r="T29" s="4">
        <f>+R29*Q29*P29</f>
        <v>-17325.8505</v>
      </c>
    </row>
    <row r="30" spans="7:20" ht="12">
      <c r="G30">
        <v>2</v>
      </c>
      <c r="H30">
        <f>+(B$13-Q$3-80+10^-99)^G30</f>
        <v>25</v>
      </c>
      <c r="I30" s="3">
        <v>-0.00088057</v>
      </c>
      <c r="J30">
        <f>+I30*H30</f>
        <v>-0.02201425</v>
      </c>
      <c r="L30">
        <f>-4.287615*10^-3</f>
        <v>-0.004287615</v>
      </c>
      <c r="M30">
        <f>+L30*H30</f>
        <v>-0.10719037499999999</v>
      </c>
      <c r="P30" s="7">
        <f>+P29</f>
        <v>0.068753375</v>
      </c>
      <c r="Q30" s="10">
        <v>1</v>
      </c>
      <c r="R30" s="4">
        <v>-285000</v>
      </c>
      <c r="T30" s="4">
        <f>+R30*Q30*P30</f>
        <v>-19594.711875</v>
      </c>
    </row>
    <row r="31" spans="1:20" ht="12">
      <c r="A31" t="s">
        <v>21</v>
      </c>
      <c r="G31">
        <v>3</v>
      </c>
      <c r="H31">
        <f>+(B$13-Q$3-80+10^-99)^G31</f>
        <v>125</v>
      </c>
      <c r="I31" s="3">
        <v>0.0001512</v>
      </c>
      <c r="J31">
        <f>+I31*H31</f>
        <v>0.0189</v>
      </c>
      <c r="L31">
        <f>3.028893*10^-4</f>
        <v>0.00030288930000000003</v>
      </c>
      <c r="M31">
        <f>+L31*H31</f>
        <v>0.037861162500000003</v>
      </c>
      <c r="T31" s="12">
        <f>SUM(T29:T30)</f>
        <v>-36920.562375</v>
      </c>
    </row>
    <row r="32" spans="1:13" ht="12">
      <c r="A32" t="s">
        <v>14</v>
      </c>
      <c r="G32">
        <v>4</v>
      </c>
      <c r="H32">
        <f>+(B$13-Q$3-80+10^-99)^G32</f>
        <v>625</v>
      </c>
      <c r="I32" s="3">
        <v>-3.0854E-06</v>
      </c>
      <c r="J32">
        <f>+I32*H32</f>
        <v>-0.0019283750000000002</v>
      </c>
      <c r="L32">
        <f>-5.074968*10^-6</f>
        <v>-5.074968E-06</v>
      </c>
      <c r="M32">
        <f>+L32*H32</f>
        <v>-0.003171855</v>
      </c>
    </row>
    <row r="33" spans="2:9" ht="12">
      <c r="B33" s="1"/>
      <c r="I33" s="3"/>
    </row>
    <row r="34" spans="10:13" ht="12" hidden="1">
      <c r="J34">
        <f>SUM(J28:J32)</f>
        <v>0.068753375</v>
      </c>
      <c r="M34">
        <f>IF((B$13-Q$3)&gt;=0.3,SUM(M28:M32),0)</f>
        <v>0.050163932499999994</v>
      </c>
    </row>
    <row r="35" ht="12" hidden="1"/>
    <row r="36" ht="12" hidden="1"/>
    <row r="37" spans="5:9" ht="12" hidden="1">
      <c r="E37" s="2"/>
      <c r="I37" t="s">
        <v>1</v>
      </c>
    </row>
    <row r="38" spans="7:20" ht="12" hidden="1">
      <c r="G38">
        <v>0</v>
      </c>
      <c r="H38">
        <f>+(C$15-Q$3-80+10^-99)^G38</f>
        <v>1</v>
      </c>
      <c r="I38">
        <v>0.0515</v>
      </c>
      <c r="J38">
        <f>+I38*H38</f>
        <v>0.0515</v>
      </c>
      <c r="L38">
        <f>-5.235*10^-3</f>
        <v>-0.005235</v>
      </c>
      <c r="M38">
        <f>+L38*H38</f>
        <v>-0.005235</v>
      </c>
      <c r="P38" t="s">
        <v>0</v>
      </c>
      <c r="Q38" s="5" t="s">
        <v>5</v>
      </c>
      <c r="R38" s="5" t="s">
        <v>2</v>
      </c>
      <c r="T38" s="5"/>
    </row>
    <row r="39" spans="7:20" ht="12" hidden="1">
      <c r="G39">
        <v>1</v>
      </c>
      <c r="H39">
        <f>+(C$15-Q$3-80+10^-99)^G39</f>
        <v>6</v>
      </c>
      <c r="I39">
        <f>0.0044592</f>
        <v>0.0044592</v>
      </c>
      <c r="J39">
        <f>+I39*H39</f>
        <v>0.0267552</v>
      </c>
      <c r="L39">
        <v>0.02558</v>
      </c>
      <c r="M39">
        <f>+L39*H39</f>
        <v>0.15348</v>
      </c>
      <c r="P39" s="6">
        <f>+IF((C15-Q3)&lt;=80,0.0515,IF((B34-Q3)&gt;111,1,J44))</f>
        <v>0.07521520159999999</v>
      </c>
      <c r="Q39" s="10">
        <v>1</v>
      </c>
      <c r="R39" s="4">
        <v>-252000</v>
      </c>
      <c r="T39" s="4">
        <f>+R39*Q39*P39</f>
        <v>-18954.230803199996</v>
      </c>
    </row>
    <row r="40" spans="7:20" ht="12" hidden="1">
      <c r="G40">
        <v>2</v>
      </c>
      <c r="H40">
        <f>+(C$15-Q$3-80+10^-99)^G40</f>
        <v>36</v>
      </c>
      <c r="I40" s="3">
        <v>-0.00088057</v>
      </c>
      <c r="J40">
        <f>+I40*H40</f>
        <v>-0.03170052</v>
      </c>
      <c r="L40">
        <f>-4.287615*10^-3</f>
        <v>-0.004287615</v>
      </c>
      <c r="M40">
        <f>+L40*H40</f>
        <v>-0.15435414</v>
      </c>
      <c r="P40" s="7">
        <f>+P39</f>
        <v>0.07521520159999999</v>
      </c>
      <c r="Q40" s="10">
        <v>1</v>
      </c>
      <c r="R40" s="4">
        <v>-285000</v>
      </c>
      <c r="T40" s="4">
        <f>+R40*Q40*P40</f>
        <v>-21436.332455999996</v>
      </c>
    </row>
    <row r="41" spans="7:20" ht="12" hidden="1">
      <c r="G41">
        <v>3</v>
      </c>
      <c r="H41">
        <f>+(C$15-Q$3-80+10^-99)^G41</f>
        <v>216</v>
      </c>
      <c r="I41" s="3">
        <v>0.0001512</v>
      </c>
      <c r="J41">
        <f>+I41*H41</f>
        <v>0.0326592</v>
      </c>
      <c r="L41">
        <f>3.028893*10^-4</f>
        <v>0.00030288930000000003</v>
      </c>
      <c r="M41">
        <f>+L41*H41</f>
        <v>0.0654240888</v>
      </c>
      <c r="T41" s="12">
        <f>SUM(T39:T40)</f>
        <v>-40390.56325919999</v>
      </c>
    </row>
    <row r="42" spans="7:13" ht="12" hidden="1">
      <c r="G42">
        <v>4</v>
      </c>
      <c r="H42">
        <f>+(C$15-Q$3-80+10^-99)^G42</f>
        <v>1296</v>
      </c>
      <c r="I42" s="3">
        <v>-3.0854E-06</v>
      </c>
      <c r="J42">
        <f>+I42*H42</f>
        <v>-0.0039986784000000004</v>
      </c>
      <c r="L42">
        <f>-5.074968*10^-6</f>
        <v>-5.074968E-06</v>
      </c>
      <c r="M42">
        <f>+L42*H42</f>
        <v>-0.006577158527999999</v>
      </c>
    </row>
    <row r="43" ht="12" hidden="1"/>
    <row r="44" spans="2:13" ht="12" hidden="1">
      <c r="B44" s="1"/>
      <c r="J44">
        <f>SUM(J38:J42)</f>
        <v>0.07521520159999999</v>
      </c>
      <c r="M44">
        <f>IF((C$15-Q$3)&gt;=0.3,SUM(M38:M42),0)</f>
        <v>0.05273779027200002</v>
      </c>
    </row>
    <row r="45" ht="12" hidden="1">
      <c r="B45" s="1"/>
    </row>
    <row r="46" ht="12" hidden="1"/>
    <row r="47" ht="12" hidden="1"/>
    <row r="48" ht="12" hidden="1">
      <c r="I48" t="s">
        <v>1</v>
      </c>
    </row>
    <row r="49" spans="7:20" ht="12" hidden="1">
      <c r="G49">
        <v>0</v>
      </c>
      <c r="H49">
        <f>+(D$15-Q$3-80+10^-99)^G49</f>
        <v>1</v>
      </c>
      <c r="I49">
        <v>0.0515</v>
      </c>
      <c r="J49">
        <f>+I49*H49</f>
        <v>0.0515</v>
      </c>
      <c r="L49">
        <f>-5.235*10^-3</f>
        <v>-0.005235</v>
      </c>
      <c r="M49">
        <f>+L49*H49</f>
        <v>-0.005235</v>
      </c>
      <c r="P49" t="s">
        <v>0</v>
      </c>
      <c r="Q49" s="5" t="s">
        <v>5</v>
      </c>
      <c r="R49" s="5" t="s">
        <v>2</v>
      </c>
      <c r="T49" s="5"/>
    </row>
    <row r="50" spans="7:20" ht="12" hidden="1">
      <c r="G50">
        <v>1</v>
      </c>
      <c r="H50">
        <f>+(D$15-Q$3-80+10^-99)^G50</f>
        <v>8</v>
      </c>
      <c r="I50">
        <f>0.0044592</f>
        <v>0.0044592</v>
      </c>
      <c r="J50">
        <f>+I50*H50</f>
        <v>0.0356736</v>
      </c>
      <c r="L50">
        <v>0.02558</v>
      </c>
      <c r="M50">
        <f>+L50*H50</f>
        <v>0.20464</v>
      </c>
      <c r="P50" s="6">
        <f>+IF((D15-Q3)&lt;=80,0.0515,IF((B45-Q3)&gt;111,1,J55))</f>
        <v>0.09559372159999999</v>
      </c>
      <c r="Q50" s="10">
        <v>1</v>
      </c>
      <c r="R50" s="4">
        <v>-252000</v>
      </c>
      <c r="T50" s="4">
        <f>+R50*Q50*P50</f>
        <v>-24089.617843199998</v>
      </c>
    </row>
    <row r="51" spans="7:20" ht="12" hidden="1">
      <c r="G51">
        <v>2</v>
      </c>
      <c r="H51">
        <f>+(D$15-Q$3-80+10^-99)^G51</f>
        <v>64</v>
      </c>
      <c r="I51" s="3">
        <v>-0.00088057</v>
      </c>
      <c r="J51">
        <f>+I51*H51</f>
        <v>-0.05635648</v>
      </c>
      <c r="L51">
        <f>-4.287615*10^-3</f>
        <v>-0.004287615</v>
      </c>
      <c r="M51">
        <f>+L51*H51</f>
        <v>-0.27440736</v>
      </c>
      <c r="P51" s="7">
        <f>+P50</f>
        <v>0.09559372159999999</v>
      </c>
      <c r="Q51" s="10">
        <v>1</v>
      </c>
      <c r="R51" s="4">
        <v>-285000</v>
      </c>
      <c r="T51" s="4">
        <f>+R51*Q51*P51</f>
        <v>-27244.210655999996</v>
      </c>
    </row>
    <row r="52" spans="7:20" ht="12" hidden="1">
      <c r="G52">
        <v>3</v>
      </c>
      <c r="H52">
        <f>+(D$15-Q$3-80+10^-99)^G52</f>
        <v>512</v>
      </c>
      <c r="I52" s="3">
        <v>0.0001512</v>
      </c>
      <c r="J52">
        <f>+I52*H52</f>
        <v>0.0774144</v>
      </c>
      <c r="L52">
        <f>3.028893*10^-4</f>
        <v>0.00030288930000000003</v>
      </c>
      <c r="M52">
        <f>+L52*H52</f>
        <v>0.15507932160000001</v>
      </c>
      <c r="T52" s="12">
        <f>SUM(T50:T51)</f>
        <v>-51333.8284992</v>
      </c>
    </row>
    <row r="53" spans="7:13" ht="12" hidden="1">
      <c r="G53">
        <v>4</v>
      </c>
      <c r="H53">
        <f>+(D$15-Q$3-80+10^-99)^G53</f>
        <v>4096</v>
      </c>
      <c r="I53" s="3">
        <v>-3.0854E-06</v>
      </c>
      <c r="J53">
        <f>+I53*H53</f>
        <v>-0.0126377984</v>
      </c>
      <c r="L53">
        <f>-5.074968*10^-6</f>
        <v>-5.074968E-06</v>
      </c>
      <c r="M53">
        <f>+L53*H53</f>
        <v>-0.020787068928</v>
      </c>
    </row>
    <row r="54" ht="12" hidden="1"/>
    <row r="55" spans="10:13" ht="12" hidden="1">
      <c r="J55">
        <f>SUM(J49:J53)</f>
        <v>0.09559372159999999</v>
      </c>
      <c r="M55">
        <f>IF((D$15-Q$3)&gt;=0.3,SUM(M49:M53),0)</f>
        <v>0.05928989267200002</v>
      </c>
    </row>
  </sheetData>
  <sheetProtection sheet="1" objects="1" scenarios="1" selectLockedCells="1"/>
  <mergeCells count="2">
    <mergeCell ref="B13:D13"/>
    <mergeCell ref="B14:D14"/>
  </mergeCells>
  <printOptions/>
  <pageMargins left="0.75" right="0.75" top="1" bottom="1" header="0.5" footer="0.5"/>
  <pageSetup fitToHeight="1" fitToWidth="1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Nelson Acoustics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Nelson</dc:creator>
  <cp:keywords/>
  <dc:description/>
  <cp:lastModifiedBy>David Nelson</cp:lastModifiedBy>
  <cp:lastPrinted>2010-07-23T21:51:26Z</cp:lastPrinted>
  <dcterms:created xsi:type="dcterms:W3CDTF">2008-11-21T21:14:19Z</dcterms:created>
  <dcterms:modified xsi:type="dcterms:W3CDTF">2010-08-16T15:50:39Z</dcterms:modified>
  <cp:category/>
  <cp:version/>
  <cp:contentType/>
  <cp:contentStatus/>
</cp:coreProperties>
</file>