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6140" yWindow="40996" windowWidth="19240" windowHeight="17500" tabRatio="500" activeTab="0"/>
  </bookViews>
  <sheets>
    <sheet name="Long-Term Economic Benefit" sheetId="1" r:id="rId1"/>
  </sheets>
  <definedNames>
    <definedName name="_xlnm.Print_Area" localSheetId="0">'Long-Term Economic Benefit'!$A$1:$H$38</definedName>
  </definedNames>
  <calcPr fullCalcOnLoad="1"/>
</workbook>
</file>

<file path=xl/sharedStrings.xml><?xml version="1.0" encoding="utf-8"?>
<sst xmlns="http://schemas.openxmlformats.org/spreadsheetml/2006/main" count="54" uniqueCount="42">
  <si>
    <t>HCP/PPE (if TWA&gt;80)</t>
  </si>
  <si>
    <t>Net Present Value of noise exposure per person</t>
  </si>
  <si>
    <t>Hearing aids/batteries (both ears)</t>
  </si>
  <si>
    <t>Disability claim (both ears)</t>
  </si>
  <si>
    <t>Net Present Benefit due to reduced noise exposure</t>
  </si>
  <si>
    <r>
      <t>Enter number of employees exposed (</t>
    </r>
    <r>
      <rPr>
        <sz val="10"/>
        <rFont val="Arial Italic"/>
        <family val="0"/>
      </rPr>
      <t>N</t>
    </r>
    <r>
      <rPr>
        <vertAlign val="subscript"/>
        <sz val="10"/>
        <rFont val="Arial Italic"/>
        <family val="0"/>
      </rPr>
      <t>P</t>
    </r>
    <r>
      <rPr>
        <sz val="10"/>
        <rFont val="Arial Italic"/>
        <family val="0"/>
      </rPr>
      <t>)</t>
    </r>
  </si>
  <si>
    <r>
      <t xml:space="preserve">Select Impairment percentile  </t>
    </r>
    <r>
      <rPr>
        <i/>
        <sz val="10"/>
        <rFont val="Arial"/>
        <family val="0"/>
      </rPr>
      <t>I(L)</t>
    </r>
    <r>
      <rPr>
        <i/>
        <vertAlign val="subscript"/>
        <sz val="10"/>
        <rFont val="Arial"/>
        <family val="0"/>
      </rPr>
      <t>nn</t>
    </r>
  </si>
  <si>
    <t>Select relative range of Hearing Loss disability claims</t>
  </si>
  <si>
    <t>S</t>
  </si>
  <si>
    <t>NPV_NX</t>
  </si>
  <si>
    <r>
      <t xml:space="preserve">Net Present Benefit of Quiet Purchase, overall, </t>
    </r>
    <r>
      <rPr>
        <b/>
        <i/>
        <sz val="10"/>
        <rFont val="Arial"/>
        <family val="0"/>
      </rPr>
      <t>NPV_NR</t>
    </r>
  </si>
  <si>
    <t>NPV</t>
  </si>
  <si>
    <t>coefficients of L-80, valid from 80 to 115</t>
  </si>
  <si>
    <t>Medium Low</t>
  </si>
  <si>
    <t>Medium High</t>
  </si>
  <si>
    <t>Estimated cost, 30 yrs at reduced level</t>
  </si>
  <si>
    <t>Nelson Acoustics</t>
  </si>
  <si>
    <t>David Nelson</t>
  </si>
  <si>
    <t>Christian Nelson</t>
  </si>
  <si>
    <t>Net Present Value of Noise Exposure, Noisy Purchase</t>
  </si>
  <si>
    <t>Net Present Value of Noise Exposure, Quiet Purchase</t>
  </si>
  <si>
    <t>(per person)</t>
  </si>
  <si>
    <t>Estimated Long-Term Economic Benefit of Noise Control (30-year career)</t>
  </si>
  <si>
    <t>To edit worksheet, use Excel menu commands to Un-protect the Sheet.  Leave password field blank.</t>
  </si>
  <si>
    <t>Initial values are for example only.</t>
  </si>
  <si>
    <t>Enter TWA before Engineering Noise Control [dBA]</t>
  </si>
  <si>
    <t>Select TWA after Engineering Noise Control [dBA]</t>
  </si>
  <si>
    <t>Average</t>
  </si>
  <si>
    <t>High</t>
  </si>
  <si>
    <t>Low</t>
  </si>
  <si>
    <t>BI75</t>
  </si>
  <si>
    <t>BI95</t>
  </si>
  <si>
    <t>BI avg</t>
  </si>
  <si>
    <t>80 dBA</t>
  </si>
  <si>
    <t>82 dBA</t>
  </si>
  <si>
    <t>85 dBA</t>
  </si>
  <si>
    <t>90 dBA</t>
  </si>
  <si>
    <t>Factor</t>
  </si>
  <si>
    <t>February 15 2012</t>
  </si>
  <si>
    <t>50% (Large Group)</t>
  </si>
  <si>
    <t>95% (Single Person)</t>
  </si>
  <si>
    <t>Estimated cost, 30 yrs at higher level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</si>
</sst>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"/>
    <numFmt numFmtId="168" formatCode="0.0%"/>
    <numFmt numFmtId="169" formatCode="&quot;$&quot;#,##0.0_);[Red]\(&quot;$&quot;#,##0.0\)"/>
    <numFmt numFmtId="170" formatCode="&quot;$&quot;#,##0.000_);[Red]\(&quot;$&quot;#,##0.000\)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"/>
    <numFmt numFmtId="175" formatCode="&quot;$&quot;#,##0"/>
    <numFmt numFmtId="176" formatCode="0.000%"/>
    <numFmt numFmtId="177" formatCode="0.0000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i/>
      <sz val="10"/>
      <name val="Arial"/>
      <family val="0"/>
    </font>
    <font>
      <sz val="10"/>
      <name val="Arial Italic"/>
      <family val="0"/>
    </font>
    <font>
      <vertAlign val="subscript"/>
      <sz val="10"/>
      <name val="Arial Italic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i/>
      <vertAlign val="subscript"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5" fillId="12" borderId="0" applyNumberFormat="0" applyBorder="0" applyAlignment="0" applyProtection="0"/>
    <xf numFmtId="0" fontId="19" fillId="2" borderId="1" applyNumberFormat="0" applyAlignment="0" applyProtection="0"/>
    <xf numFmtId="0" fontId="21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16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17" borderId="0" xfId="0" applyFill="1" applyAlignment="1">
      <alignment/>
    </xf>
    <xf numFmtId="0" fontId="5" fillId="17" borderId="0" xfId="0" applyFont="1" applyFill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right"/>
    </xf>
    <xf numFmtId="166" fontId="3" fillId="0" borderId="13" xfId="0" applyNumberFormat="1" applyFont="1" applyBorder="1" applyAlignment="1" applyProtection="1">
      <alignment/>
      <protection/>
    </xf>
    <xf numFmtId="166" fontId="3" fillId="16" borderId="13" xfId="0" applyNumberFormat="1" applyFont="1" applyFill="1" applyBorder="1" applyAlignment="1" applyProtection="1">
      <alignment horizontal="center" vertical="center"/>
      <protection locked="0"/>
    </xf>
    <xf numFmtId="0" fontId="3" fillId="1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9" fontId="0" fillId="0" borderId="0" xfId="59" applyAlignment="1">
      <alignment/>
    </xf>
    <xf numFmtId="15" fontId="0" fillId="0" borderId="0" xfId="0" applyNumberFormat="1" applyAlignment="1">
      <alignment horizontal="left"/>
    </xf>
    <xf numFmtId="2" fontId="0" fillId="5" borderId="11" xfId="59" applyNumberForma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6" fontId="0" fillId="5" borderId="11" xfId="0" applyNumberFormat="1" applyFill="1" applyBorder="1" applyAlignment="1" applyProtection="1">
      <alignment horizontal="center"/>
      <protection hidden="1"/>
    </xf>
    <xf numFmtId="6" fontId="0" fillId="5" borderId="11" xfId="0" applyNumberFormat="1" applyFill="1" applyBorder="1" applyAlignment="1" applyProtection="1">
      <alignment horizontal="right"/>
      <protection hidden="1"/>
    </xf>
    <xf numFmtId="6" fontId="3" fillId="5" borderId="11" xfId="0" applyNumberFormat="1" applyFont="1" applyFill="1" applyBorder="1" applyAlignment="1" applyProtection="1">
      <alignment horizontal="right"/>
      <protection hidden="1"/>
    </xf>
    <xf numFmtId="6" fontId="3" fillId="5" borderId="15" xfId="0" applyNumberFormat="1" applyFont="1" applyFill="1" applyBorder="1" applyAlignment="1" applyProtection="1">
      <alignment horizontal="right"/>
      <protection hidden="1"/>
    </xf>
    <xf numFmtId="6" fontId="3" fillId="5" borderId="13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left" vertical="center"/>
    </xf>
    <xf numFmtId="2" fontId="0" fillId="5" borderId="11" xfId="59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200025</xdr:rowOff>
    </xdr:from>
    <xdr:to>
      <xdr:col>6</xdr:col>
      <xdr:colOff>752475</xdr:colOff>
      <xdr:row>6</xdr:row>
      <xdr:rowOff>28575</xdr:rowOff>
    </xdr:to>
    <xdr:pic>
      <xdr:nvPicPr>
        <xdr:cNvPr id="1" name="Picture 4" descr="NA(Logo)Lo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00025"/>
          <a:ext cx="1914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238125</xdr:rowOff>
    </xdr:from>
    <xdr:to>
      <xdr:col>1</xdr:col>
      <xdr:colOff>1200150</xdr:colOff>
      <xdr:row>7</xdr:row>
      <xdr:rowOff>28575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705"/>
        <a:stretch>
          <a:fillRect/>
        </a:stretch>
      </xdr:blipFill>
      <xdr:spPr>
        <a:xfrm>
          <a:off x="257175" y="2381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W46"/>
  <sheetViews>
    <sheetView showGridLines="0" tabSelected="1" zoomScale="125" zoomScaleNormal="125" zoomScalePageLayoutView="0" workbookViewId="0" topLeftCell="A1">
      <selection activeCell="F10" sqref="F10"/>
    </sheetView>
  </sheetViews>
  <sheetFormatPr defaultColWidth="8.8515625" defaultRowHeight="12.75" zeroHeight="1"/>
  <cols>
    <col min="1" max="1" width="3.8515625" style="0" customWidth="1"/>
    <col min="2" max="2" width="35.28125" style="0" customWidth="1"/>
    <col min="3" max="3" width="11.421875" style="0" customWidth="1"/>
    <col min="5" max="5" width="13.00390625" style="0" customWidth="1"/>
    <col min="6" max="6" width="18.7109375" style="0" customWidth="1"/>
    <col min="7" max="7" width="11.421875" style="0" customWidth="1"/>
    <col min="8" max="8" width="4.421875" style="0" customWidth="1"/>
    <col min="9" max="16384" width="8.8515625" style="0" hidden="1" customWidth="1"/>
  </cols>
  <sheetData>
    <row r="1" ht="34.5" customHeight="1"/>
    <row r="2" ht="12.75"/>
    <row r="3" ht="12.75"/>
    <row r="4" ht="12.75"/>
    <row r="5" ht="12.75"/>
    <row r="6" ht="12.75">
      <c r="J6" s="1"/>
    </row>
    <row r="7" ht="12.75">
      <c r="J7" s="1"/>
    </row>
    <row r="8" spans="2:7" ht="12.75">
      <c r="B8" s="6" t="s">
        <v>22</v>
      </c>
      <c r="C8" s="5"/>
      <c r="D8" s="5"/>
      <c r="E8" s="5"/>
      <c r="F8" s="5"/>
      <c r="G8" s="5"/>
    </row>
    <row r="9" ht="12.75" thickBot="1">
      <c r="J9" s="1"/>
    </row>
    <row r="10" spans="2:15" ht="21.75" customHeight="1" thickBot="1">
      <c r="B10" s="20" t="s">
        <v>25</v>
      </c>
      <c r="F10" s="16">
        <v>90</v>
      </c>
      <c r="G10" s="8"/>
      <c r="J10" s="9"/>
      <c r="K10" t="s">
        <v>33</v>
      </c>
      <c r="L10">
        <v>80</v>
      </c>
      <c r="M10" s="15">
        <f>INDEX(L10:L13,M11,0)</f>
        <v>85</v>
      </c>
      <c r="N10" t="s">
        <v>29</v>
      </c>
      <c r="O10" s="33" t="s">
        <v>39</v>
      </c>
    </row>
    <row r="11" spans="2:15" ht="21.75" customHeight="1" thickBot="1">
      <c r="B11" s="20" t="s">
        <v>26</v>
      </c>
      <c r="F11" s="35">
        <v>0</v>
      </c>
      <c r="J11" s="9"/>
      <c r="K11" t="s">
        <v>34</v>
      </c>
      <c r="L11">
        <v>82</v>
      </c>
      <c r="M11" s="8">
        <v>3</v>
      </c>
      <c r="N11" t="s">
        <v>13</v>
      </c>
      <c r="O11" s="33">
        <v>0.75</v>
      </c>
    </row>
    <row r="12" spans="2:15" ht="21.75" customHeight="1" thickBot="1">
      <c r="B12" s="20" t="s">
        <v>5</v>
      </c>
      <c r="F12" s="17">
        <v>10</v>
      </c>
      <c r="G12" s="8"/>
      <c r="K12" t="s">
        <v>35</v>
      </c>
      <c r="L12">
        <v>85</v>
      </c>
      <c r="M12" s="7">
        <v>3</v>
      </c>
      <c r="N12" t="s">
        <v>27</v>
      </c>
      <c r="O12" s="33" t="s">
        <v>40</v>
      </c>
    </row>
    <row r="13" spans="2:14" ht="21.75" customHeight="1">
      <c r="B13" s="31" t="s">
        <v>7</v>
      </c>
      <c r="C13" s="31"/>
      <c r="D13" s="31"/>
      <c r="E13" s="31"/>
      <c r="F13" s="35">
        <v>0</v>
      </c>
      <c r="K13" t="s">
        <v>36</v>
      </c>
      <c r="L13">
        <v>90</v>
      </c>
      <c r="N13" t="s">
        <v>14</v>
      </c>
    </row>
    <row r="14" spans="2:14" ht="21.75" customHeight="1">
      <c r="B14" s="20" t="s">
        <v>6</v>
      </c>
      <c r="C14" s="20"/>
      <c r="D14" s="20"/>
      <c r="E14" s="20"/>
      <c r="F14" s="35"/>
      <c r="N14" t="s">
        <v>28</v>
      </c>
    </row>
    <row r="15" spans="2:13" ht="21.75" customHeight="1">
      <c r="B15" s="1"/>
      <c r="C15" s="8"/>
      <c r="M15" s="8">
        <v>3</v>
      </c>
    </row>
    <row r="16" spans="2:6" ht="12">
      <c r="B16" s="1" t="s">
        <v>41</v>
      </c>
      <c r="C16" s="25" t="s">
        <v>37</v>
      </c>
      <c r="D16" s="25" t="s">
        <v>8</v>
      </c>
      <c r="E16" s="25" t="s">
        <v>11</v>
      </c>
      <c r="F16" s="14"/>
    </row>
    <row r="17" spans="2:6" ht="12">
      <c r="B17" t="s">
        <v>3</v>
      </c>
      <c r="C17" s="24">
        <f>IF(INDEX(U32:W32,M15)&gt;111,1,INDEX(U32:W32,M15))</f>
        <v>0.07394312000000006</v>
      </c>
      <c r="D17" s="24">
        <f>+M12/3</f>
        <v>1</v>
      </c>
      <c r="E17" s="26">
        <v>-66000</v>
      </c>
      <c r="F17" s="27">
        <f>+E17*D17*C17</f>
        <v>-4880.245920000004</v>
      </c>
    </row>
    <row r="18" spans="2:6" ht="12">
      <c r="B18" t="s">
        <v>2</v>
      </c>
      <c r="C18" s="24">
        <f>+IF(F10&lt;=80,0.0515,IF(F10&gt;111,1,N32))</f>
        <v>0.12838100000000002</v>
      </c>
      <c r="D18" s="24">
        <v>1</v>
      </c>
      <c r="E18" s="26">
        <f>-39000</f>
        <v>-39000</v>
      </c>
      <c r="F18" s="27">
        <f>+E18*D18*C18</f>
        <v>-5006.859000000001</v>
      </c>
    </row>
    <row r="19" spans="2:6" ht="12">
      <c r="B19" s="4" t="s">
        <v>0</v>
      </c>
      <c r="C19" s="24">
        <f>IF(F10&gt;80,1,0)</f>
        <v>1</v>
      </c>
      <c r="D19" s="24">
        <v>1</v>
      </c>
      <c r="E19" s="26">
        <v>-39000</v>
      </c>
      <c r="F19" s="27">
        <f>+E19*D19*C19</f>
        <v>-39000</v>
      </c>
    </row>
    <row r="20" spans="2:7" ht="12">
      <c r="B20" s="1" t="s">
        <v>1</v>
      </c>
      <c r="C20" s="18"/>
      <c r="D20" s="18"/>
      <c r="E20" s="18"/>
      <c r="F20" s="28">
        <f>SUM(F17:F19)</f>
        <v>-48887.104920000005</v>
      </c>
      <c r="G20" s="14" t="s">
        <v>9</v>
      </c>
    </row>
    <row r="21" spans="6:23" ht="12">
      <c r="F21" s="21"/>
      <c r="U21">
        <v>90.3</v>
      </c>
      <c r="V21">
        <v>93</v>
      </c>
      <c r="W21">
        <v>80.2</v>
      </c>
    </row>
    <row r="22" ht="12">
      <c r="F22" s="21"/>
    </row>
    <row r="23" spans="2:6" ht="12">
      <c r="B23" s="1" t="s">
        <v>15</v>
      </c>
      <c r="C23" s="25" t="s">
        <v>37</v>
      </c>
      <c r="D23" s="25" t="s">
        <v>8</v>
      </c>
      <c r="E23" s="25" t="s">
        <v>11</v>
      </c>
      <c r="F23" s="21"/>
    </row>
    <row r="24" spans="2:6" ht="12">
      <c r="B24" t="s">
        <v>3</v>
      </c>
      <c r="C24" s="32">
        <f>IF(M10=80,0,INDEX(U41:W41,M15))</f>
        <v>0.050163932499999994</v>
      </c>
      <c r="D24" s="24">
        <f>+M12/3</f>
        <v>1</v>
      </c>
      <c r="E24" s="26">
        <f>+E17</f>
        <v>-66000</v>
      </c>
      <c r="F24" s="27">
        <f>+E24*D24*C24</f>
        <v>-3310.819545</v>
      </c>
    </row>
    <row r="25" spans="2:19" ht="12">
      <c r="B25" t="s">
        <v>2</v>
      </c>
      <c r="C25" s="24">
        <f>IF(M10&gt;111,1,N41)</f>
        <v>0.068753375</v>
      </c>
      <c r="D25" s="24">
        <v>1</v>
      </c>
      <c r="E25" s="26">
        <f>-39000</f>
        <v>-39000</v>
      </c>
      <c r="F25" s="27">
        <f>+E25*D25*C25</f>
        <v>-2681.381625</v>
      </c>
      <c r="M25" t="s">
        <v>12</v>
      </c>
      <c r="Q25" t="s">
        <v>32</v>
      </c>
      <c r="R25" s="21" t="s">
        <v>30</v>
      </c>
      <c r="S25" s="21" t="s">
        <v>31</v>
      </c>
    </row>
    <row r="26" spans="2:23" ht="12">
      <c r="B26" s="4" t="s">
        <v>0</v>
      </c>
      <c r="C26" s="24">
        <f>IF(M10&gt;80,1,0)</f>
        <v>1</v>
      </c>
      <c r="D26" s="24">
        <v>1</v>
      </c>
      <c r="E26" s="26">
        <f>+E19</f>
        <v>-39000</v>
      </c>
      <c r="F26" s="27">
        <f>+E26*D26*C26</f>
        <v>-39000</v>
      </c>
      <c r="K26">
        <v>0</v>
      </c>
      <c r="L26">
        <f>+(F$10-80+10^-99)^K26</f>
        <v>1</v>
      </c>
      <c r="M26">
        <v>0.0515</v>
      </c>
      <c r="N26">
        <f>+M26*L26</f>
        <v>0.0515</v>
      </c>
      <c r="Q26">
        <f>-2.873853*10^-3</f>
        <v>-0.002873853</v>
      </c>
      <c r="R26">
        <f>-1.110535*10^-3</f>
        <v>-0.0011105350000000002</v>
      </c>
      <c r="S26">
        <f>-5.235*10^-3</f>
        <v>-0.005235</v>
      </c>
      <c r="U26">
        <f aca="true" t="shared" si="0" ref="U26:W30">+$L26*Q26</f>
        <v>-0.002873853</v>
      </c>
      <c r="V26">
        <f t="shared" si="0"/>
        <v>-0.0011105350000000002</v>
      </c>
      <c r="W26">
        <f t="shared" si="0"/>
        <v>-0.005235</v>
      </c>
    </row>
    <row r="27" spans="2:23" ht="12">
      <c r="B27" s="1" t="s">
        <v>1</v>
      </c>
      <c r="C27" s="18"/>
      <c r="D27" s="18"/>
      <c r="E27" s="18"/>
      <c r="F27" s="28">
        <f>SUM(F24:F26)</f>
        <v>-44992.20117</v>
      </c>
      <c r="G27" s="14" t="s">
        <v>9</v>
      </c>
      <c r="K27">
        <v>1</v>
      </c>
      <c r="L27">
        <f>+(F$10-80+10^-99)^K27</f>
        <v>10</v>
      </c>
      <c r="M27">
        <f>0.0044592</f>
        <v>0.0044592</v>
      </c>
      <c r="N27">
        <f>+M27*L27</f>
        <v>0.044592</v>
      </c>
      <c r="Q27">
        <f>9.705277*10^-3</f>
        <v>0.009705277</v>
      </c>
      <c r="R27">
        <v>0.01145</v>
      </c>
      <c r="S27">
        <f>0.02558</f>
        <v>0.02558</v>
      </c>
      <c r="U27">
        <f t="shared" si="0"/>
        <v>0.09705277</v>
      </c>
      <c r="V27">
        <f t="shared" si="0"/>
        <v>0.1145</v>
      </c>
      <c r="W27">
        <f t="shared" si="0"/>
        <v>0.25579999999999997</v>
      </c>
    </row>
    <row r="28" spans="6:23" ht="12">
      <c r="F28" s="21"/>
      <c r="K28">
        <v>2</v>
      </c>
      <c r="L28">
        <f>+(F$10-80+10^-99)^K28</f>
        <v>100</v>
      </c>
      <c r="M28" s="3">
        <v>-0.00088057</v>
      </c>
      <c r="N28">
        <f>+M28*L28</f>
        <v>-0.088057</v>
      </c>
      <c r="Q28">
        <f>-1.900553*10^-3</f>
        <v>-0.001900553</v>
      </c>
      <c r="R28">
        <f>-2.884684*10^-3</f>
        <v>-0.002884684</v>
      </c>
      <c r="S28">
        <f>-4.287615*10^-3</f>
        <v>-0.004287615</v>
      </c>
      <c r="U28">
        <f t="shared" si="0"/>
        <v>-0.19005529999999998</v>
      </c>
      <c r="V28">
        <f t="shared" si="0"/>
        <v>-0.2884684</v>
      </c>
      <c r="W28">
        <f t="shared" si="0"/>
        <v>-0.42876149999999996</v>
      </c>
    </row>
    <row r="29" spans="6:23" ht="12">
      <c r="F29" s="21"/>
      <c r="K29">
        <v>3</v>
      </c>
      <c r="L29">
        <f>+(F$10-80+10^-99)^K29</f>
        <v>1000</v>
      </c>
      <c r="M29" s="3">
        <v>0.0001512</v>
      </c>
      <c r="N29">
        <f>+M29*L29</f>
        <v>0.1512</v>
      </c>
      <c r="Q29">
        <f>1.088237*10^-4</f>
        <v>0.00010882369999999999</v>
      </c>
      <c r="R29">
        <f>1.885719*10^-4</f>
        <v>0.0001885719</v>
      </c>
      <c r="S29">
        <f>3.028893*10^-4</f>
        <v>0.00030288930000000003</v>
      </c>
      <c r="U29">
        <f t="shared" si="0"/>
        <v>0.1088237</v>
      </c>
      <c r="V29">
        <f t="shared" si="0"/>
        <v>0.1885719</v>
      </c>
      <c r="W29">
        <f t="shared" si="0"/>
        <v>0.30288930000000003</v>
      </c>
    </row>
    <row r="30" spans="2:23" ht="12">
      <c r="B30" s="1" t="s">
        <v>4</v>
      </c>
      <c r="F30" s="28">
        <f>+MAX(0,F27-F20)</f>
        <v>3894.903750000005</v>
      </c>
      <c r="K30">
        <v>4</v>
      </c>
      <c r="L30">
        <f>+(F$10-80+10^-99)^K30</f>
        <v>10000</v>
      </c>
      <c r="M30" s="3">
        <v>-3.0854E-06</v>
      </c>
      <c r="N30">
        <f>+M30*L30</f>
        <v>-0.030854000000000003</v>
      </c>
      <c r="Q30">
        <f>-1.300611*10^-6</f>
        <v>-1.300611E-06</v>
      </c>
      <c r="R30">
        <f>-2.633014*10^-6</f>
        <v>-2.633014E-06</v>
      </c>
      <c r="S30">
        <f>-5.074968*10^-6</f>
        <v>-5.074968E-06</v>
      </c>
      <c r="U30">
        <f t="shared" si="0"/>
        <v>-0.01300611</v>
      </c>
      <c r="V30">
        <f t="shared" si="0"/>
        <v>-0.02633014</v>
      </c>
      <c r="W30">
        <f t="shared" si="0"/>
        <v>-0.05074968</v>
      </c>
    </row>
    <row r="31" spans="2:6" ht="12">
      <c r="B31" s="1" t="s">
        <v>21</v>
      </c>
      <c r="F31" s="21"/>
    </row>
    <row r="32" spans="6:23" ht="12">
      <c r="F32" s="21"/>
      <c r="N32">
        <f>SUM(N26:N30)</f>
        <v>0.12838100000000002</v>
      </c>
      <c r="U32" s="22">
        <f>IF($F10&gt;=U$21,SUM(U26:U30),0)</f>
        <v>0</v>
      </c>
      <c r="V32" s="22">
        <f>IF($F10&gt;=V$21,SUM(V26:V30),0)</f>
        <v>0</v>
      </c>
      <c r="W32" s="22">
        <f>IF($F10&gt;=W$21,SUM(W26:W30),0)</f>
        <v>0.07394312000000006</v>
      </c>
    </row>
    <row r="33" spans="2:6" ht="12">
      <c r="B33" s="10" t="s">
        <v>19</v>
      </c>
      <c r="F33" s="28">
        <f>+F20*F$12</f>
        <v>-488871.04920000007</v>
      </c>
    </row>
    <row r="34" spans="2:19" ht="12.75" thickBot="1">
      <c r="B34" s="12" t="s">
        <v>20</v>
      </c>
      <c r="C34" s="11"/>
      <c r="D34" s="11"/>
      <c r="E34" s="13"/>
      <c r="F34" s="29">
        <f>+F27*F$12</f>
        <v>-449922.01170000003</v>
      </c>
      <c r="M34" t="s">
        <v>12</v>
      </c>
      <c r="Q34" t="s">
        <v>32</v>
      </c>
      <c r="R34" s="21" t="s">
        <v>30</v>
      </c>
      <c r="S34" s="21" t="s">
        <v>31</v>
      </c>
    </row>
    <row r="35" spans="2:23" ht="12.75" thickBot="1">
      <c r="B35" s="1" t="s">
        <v>10</v>
      </c>
      <c r="F35" s="30">
        <f>+F30*F12</f>
        <v>38949.03750000005</v>
      </c>
      <c r="K35">
        <v>0</v>
      </c>
      <c r="L35">
        <f>+(M$10-80+10^-99)^K35</f>
        <v>1</v>
      </c>
      <c r="M35">
        <v>0.0515</v>
      </c>
      <c r="N35">
        <f>+M35*L35</f>
        <v>0.0515</v>
      </c>
      <c r="Q35">
        <f>-2.873853*10^-3</f>
        <v>-0.002873853</v>
      </c>
      <c r="R35">
        <f>-1.110535*10^-3</f>
        <v>-0.0011105350000000002</v>
      </c>
      <c r="S35">
        <f>-5.235*10^-3</f>
        <v>-0.005235</v>
      </c>
      <c r="U35">
        <f aca="true" t="shared" si="1" ref="U35:W39">+$L35*Q35</f>
        <v>-0.002873853</v>
      </c>
      <c r="V35">
        <f t="shared" si="1"/>
        <v>-0.0011105350000000002</v>
      </c>
      <c r="W35">
        <f t="shared" si="1"/>
        <v>-0.005235</v>
      </c>
    </row>
    <row r="36" spans="11:23" ht="12">
      <c r="K36">
        <v>1</v>
      </c>
      <c r="L36">
        <f>+(M$10-80+10^-99)^K36</f>
        <v>5</v>
      </c>
      <c r="M36">
        <f>0.0044592</f>
        <v>0.0044592</v>
      </c>
      <c r="N36">
        <f>+M36*L36</f>
        <v>0.022296</v>
      </c>
      <c r="Q36">
        <f>9.705277*10^-3</f>
        <v>0.009705277</v>
      </c>
      <c r="R36">
        <v>0.01145</v>
      </c>
      <c r="S36">
        <f>0.02558</f>
        <v>0.02558</v>
      </c>
      <c r="U36">
        <f t="shared" si="1"/>
        <v>0.048526385</v>
      </c>
      <c r="V36">
        <f t="shared" si="1"/>
        <v>0.05725</v>
      </c>
      <c r="W36">
        <f t="shared" si="1"/>
        <v>0.12789999999999999</v>
      </c>
    </row>
    <row r="37" spans="6:23" ht="12">
      <c r="F37" s="8"/>
      <c r="K37">
        <v>2</v>
      </c>
      <c r="L37">
        <f>+(M$10-80+10^-99)^K37</f>
        <v>25</v>
      </c>
      <c r="M37" s="3">
        <v>-0.00088057</v>
      </c>
      <c r="N37">
        <f>+M37*L37</f>
        <v>-0.02201425</v>
      </c>
      <c r="Q37">
        <f>-1.900553*10^-3</f>
        <v>-0.001900553</v>
      </c>
      <c r="R37">
        <f>-2.884684*10^-3</f>
        <v>-0.002884684</v>
      </c>
      <c r="S37">
        <f>-4.287615*10^-3</f>
        <v>-0.004287615</v>
      </c>
      <c r="U37">
        <f t="shared" si="1"/>
        <v>-0.047513824999999996</v>
      </c>
      <c r="V37">
        <f t="shared" si="1"/>
        <v>-0.0721171</v>
      </c>
      <c r="W37">
        <f t="shared" si="1"/>
        <v>-0.10719037499999999</v>
      </c>
    </row>
    <row r="38" spans="1:23" ht="12.75" thickBot="1">
      <c r="A38" s="19"/>
      <c r="B38" s="19"/>
      <c r="C38" s="19"/>
      <c r="D38" s="19"/>
      <c r="E38" s="19"/>
      <c r="F38" s="19"/>
      <c r="G38" s="19"/>
      <c r="H38" s="19"/>
      <c r="K38">
        <v>3</v>
      </c>
      <c r="L38">
        <f>+(M$10-80+10^-99)^K38</f>
        <v>125</v>
      </c>
      <c r="M38" s="3">
        <v>0.0001512</v>
      </c>
      <c r="N38">
        <f>+M38*L38</f>
        <v>0.0189</v>
      </c>
      <c r="Q38">
        <f>1.088237*10^-4</f>
        <v>0.00010882369999999999</v>
      </c>
      <c r="R38">
        <f>1.885719*10^-4</f>
        <v>0.0001885719</v>
      </c>
      <c r="S38">
        <f>3.028893*10^-4</f>
        <v>0.00030288930000000003</v>
      </c>
      <c r="U38">
        <f t="shared" si="1"/>
        <v>0.0136029625</v>
      </c>
      <c r="V38">
        <f t="shared" si="1"/>
        <v>0.0235714875</v>
      </c>
      <c r="W38">
        <f t="shared" si="1"/>
        <v>0.037861162500000003</v>
      </c>
    </row>
    <row r="39" spans="2:23" ht="12.75" thickTop="1">
      <c r="B39" t="s">
        <v>23</v>
      </c>
      <c r="K39">
        <v>4</v>
      </c>
      <c r="L39">
        <f>+(M$10-80+10^-99)^K39</f>
        <v>625</v>
      </c>
      <c r="M39" s="3">
        <v>-3.0854E-06</v>
      </c>
      <c r="N39">
        <f>+M39*L39</f>
        <v>-0.0019283750000000002</v>
      </c>
      <c r="Q39">
        <f>-1.300611*10^-6</f>
        <v>-1.300611E-06</v>
      </c>
      <c r="R39">
        <f>-2.633014*10^-6</f>
        <v>-2.633014E-06</v>
      </c>
      <c r="S39">
        <f>-5.074968*10^-6</f>
        <v>-5.074968E-06</v>
      </c>
      <c r="U39">
        <f t="shared" si="1"/>
        <v>-0.000812881875</v>
      </c>
      <c r="V39">
        <f t="shared" si="1"/>
        <v>-0.00164563375</v>
      </c>
      <c r="W39">
        <f t="shared" si="1"/>
        <v>-0.003171855</v>
      </c>
    </row>
    <row r="40" ht="12">
      <c r="B40" t="s">
        <v>24</v>
      </c>
    </row>
    <row r="41" spans="6:23" ht="12">
      <c r="F41" s="2"/>
      <c r="N41">
        <f>SUM(N35:N40)</f>
        <v>0.068753375</v>
      </c>
      <c r="U41" s="22">
        <f>IF($M10&gt;=U$21,SUM(U35:U39),0)</f>
        <v>0</v>
      </c>
      <c r="V41" s="22">
        <f>IF($M10&gt;=V$21,SUM(V35:V39),0)</f>
        <v>0</v>
      </c>
      <c r="W41" s="22">
        <f>IF($M10&gt;=W$21,SUM(W35:W39),0)</f>
        <v>0.050163932499999994</v>
      </c>
    </row>
    <row r="42" ht="12">
      <c r="B42" t="s">
        <v>16</v>
      </c>
    </row>
    <row r="43" ht="12">
      <c r="B43" s="23" t="s">
        <v>38</v>
      </c>
    </row>
    <row r="44" ht="12">
      <c r="V44" s="34"/>
    </row>
    <row r="45" ht="12">
      <c r="B45" t="s">
        <v>17</v>
      </c>
    </row>
    <row r="46" ht="12">
      <c r="B46" t="s">
        <v>18</v>
      </c>
    </row>
    <row r="47" ht="12"/>
  </sheetData>
  <sheetProtection sheet="1" objects="1" scenarios="1" selectLockedCells="1"/>
  <mergeCells count="1">
    <mergeCell ref="B13:E13"/>
  </mergeCells>
  <printOptions/>
  <pageMargins left="0.75" right="0.75" top="1" bottom="1" header="0.5" footer="0.5"/>
  <pageSetup fitToHeight="1" fitToWidth="1" orientation="portrait" paperSize="9" scale="82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Nelson Acoustics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Nelson</dc:creator>
  <cp:keywords/>
  <dc:description/>
  <cp:lastModifiedBy>David Nelson</cp:lastModifiedBy>
  <dcterms:created xsi:type="dcterms:W3CDTF">2008-11-21T21:14:19Z</dcterms:created>
  <dcterms:modified xsi:type="dcterms:W3CDTF">2012-01-19T21:00:26Z</dcterms:modified>
  <cp:category/>
  <cp:version/>
  <cp:contentType/>
  <cp:contentStatus/>
</cp:coreProperties>
</file>